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8060" windowHeight="118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<sst xmlns="http://schemas.openxmlformats.org/spreadsheetml/2006/main" count="109" uniqueCount="68">
  <si>
    <t>clock freq (MHz)</t>
  </si>
  <si>
    <t># ticks</t>
  </si>
  <si>
    <t>E.Q. Pulse</t>
  </si>
  <si>
    <t>Vertical Pulse</t>
  </si>
  <si>
    <t>Blank Half-Line</t>
  </si>
  <si>
    <t>Empty Video</t>
  </si>
  <si>
    <t>Video Line</t>
  </si>
  <si>
    <t>Odd Field</t>
  </si>
  <si>
    <t>Total Ticks</t>
  </si>
  <si>
    <t>Frames Per Second</t>
  </si>
  <si>
    <t>Desired FPS</t>
  </si>
  <si>
    <t>0.75 &lt;-&gt; 1.00</t>
  </si>
  <si>
    <t>Drawing Pixels in the Video Line</t>
  </si>
  <si>
    <t>color burst clock ratio</t>
  </si>
  <si>
    <t>color burst clock freq</t>
  </si>
  <si>
    <t>Spec'd Line Time(us)</t>
  </si>
  <si>
    <t>Display Order</t>
  </si>
  <si>
    <t># Ticks Rounded</t>
  </si>
  <si>
    <t>Resulting Line Time</t>
  </si>
  <si>
    <t>Enter:</t>
  </si>
  <si>
    <t>Desired # Horizontal Pixels</t>
  </si>
  <si>
    <t>Spec'd Time in Video Area (us)</t>
  </si>
  <si>
    <t># Ticks in video area</t>
  </si>
  <si>
    <t>Ticks per Pixel</t>
  </si>
  <si>
    <t>Ticks Displaying Pixels</t>
  </si>
  <si>
    <t>Leftover Ticks</t>
  </si>
  <si>
    <t>Left Border Ticks</t>
  </si>
  <si>
    <t>Right Border Ticks</t>
  </si>
  <si>
    <t>% Space Pixels vs. Border</t>
  </si>
  <si>
    <t>Pixel Time (ns)</t>
  </si>
  <si>
    <t>Even Field</t>
  </si>
  <si>
    <t>7)</t>
  </si>
  <si>
    <t>8)</t>
  </si>
  <si>
    <t>9)</t>
  </si>
  <si>
    <t>10)</t>
  </si>
  <si>
    <t>11)</t>
  </si>
  <si>
    <t>12)</t>
  </si>
  <si>
    <t>6)</t>
  </si>
  <si>
    <t>5)</t>
  </si>
  <si>
    <t>4)</t>
  </si>
  <si>
    <t>3)</t>
  </si>
  <si>
    <t>2)</t>
  </si>
  <si>
    <t>1)</t>
  </si>
  <si>
    <t>Signal Level (V)</t>
  </si>
  <si>
    <t>Time (us)</t>
  </si>
  <si>
    <t>Time (Ticks)</t>
  </si>
  <si>
    <t># Repeats</t>
  </si>
  <si>
    <t>Left Border</t>
  </si>
  <si>
    <t>Pixel Data</t>
  </si>
  <si>
    <t>Right Border</t>
  </si>
  <si>
    <t>Calculation of Important Periods (us)</t>
  </si>
  <si>
    <t>Half Video-Line</t>
  </si>
  <si>
    <t>Ticks per Pixel Rounded Down</t>
  </si>
  <si>
    <t>Hsync</t>
  </si>
  <si>
    <t>Blank</t>
  </si>
  <si>
    <t>Back Porch</t>
  </si>
  <si>
    <t>Front Porch</t>
  </si>
  <si>
    <t xml:space="preserve">Video </t>
  </si>
  <si>
    <t>Precision</t>
  </si>
  <si>
    <t>Total Ticks Even Field</t>
  </si>
  <si>
    <t>Total Ticks Odd Field</t>
  </si>
  <si>
    <t>Total Ticks Per Frame</t>
  </si>
  <si>
    <t>Frame Period (ms)</t>
  </si>
  <si>
    <t>Tick Period (ns)</t>
  </si>
  <si>
    <t>FPS Gross Error (%)</t>
  </si>
  <si>
    <t>Line Time Gross Error (%)</t>
  </si>
  <si>
    <t>Ticks per Line</t>
  </si>
  <si>
    <t>© 2002 Noah Vawter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</si>
</sst>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u val="single"/>
      <sz val="10"/>
      <name val="Arial"/>
      <family val="2"/>
    </font>
    <font>
      <b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1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0" borderId="0" xfId="0" applyBorder="1" applyAlignment="1">
      <alignment/>
    </xf>
    <xf numFmtId="0" fontId="0" fillId="2" borderId="0" xfId="0" applyFill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0" fontId="0" fillId="2" borderId="6" xfId="0" applyFill="1" applyBorder="1" applyAlignment="1">
      <alignment/>
    </xf>
    <xf numFmtId="0" fontId="0" fillId="3" borderId="6" xfId="0" applyFill="1" applyBorder="1" applyAlignment="1">
      <alignment/>
    </xf>
    <xf numFmtId="0" fontId="0" fillId="0" borderId="6" xfId="0" applyFill="1" applyBorder="1" applyAlignment="1">
      <alignment/>
    </xf>
    <xf numFmtId="0" fontId="2" fillId="2" borderId="8" xfId="0" applyFont="1" applyFill="1" applyBorder="1" applyAlignment="1">
      <alignment/>
    </xf>
    <xf numFmtId="0" fontId="2" fillId="4" borderId="8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2" fillId="5" borderId="8" xfId="0" applyFont="1" applyFill="1" applyBorder="1" applyAlignment="1">
      <alignment/>
    </xf>
    <xf numFmtId="0" fontId="2" fillId="6" borderId="8" xfId="0" applyFont="1" applyFill="1" applyBorder="1" applyAlignment="1">
      <alignment/>
    </xf>
    <xf numFmtId="0" fontId="2" fillId="0" borderId="0" xfId="0" applyFont="1" applyAlignment="1">
      <alignment/>
    </xf>
    <xf numFmtId="0" fontId="0" fillId="7" borderId="0" xfId="0" applyFill="1" applyAlignment="1">
      <alignment/>
    </xf>
    <xf numFmtId="0" fontId="2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workbookViewId="0" topLeftCell="A4">
      <selection activeCell="B39" sqref="B39"/>
    </sheetView>
  </sheetViews>
  <sheetFormatPr defaultColWidth="9.140625" defaultRowHeight="12.75"/>
  <cols>
    <col min="1" max="1" width="19.421875" style="0" customWidth="1"/>
    <col min="2" max="2" width="10.8515625" style="0" customWidth="1"/>
    <col min="4" max="4" width="8.421875" style="0" customWidth="1"/>
    <col min="5" max="5" width="4.8515625" style="0" customWidth="1"/>
    <col min="6" max="6" width="15.421875" style="0" customWidth="1"/>
    <col min="7" max="7" width="11.421875" style="0" customWidth="1"/>
    <col min="8" max="8" width="11.140625" style="0" customWidth="1"/>
    <col min="9" max="9" width="10.57421875" style="0" customWidth="1"/>
    <col min="10" max="10" width="11.00390625" style="0" customWidth="1"/>
  </cols>
  <sheetData>
    <row r="1" spans="2:11" ht="12.75">
      <c r="B1" t="s">
        <v>0</v>
      </c>
      <c r="E1" s="24" t="s">
        <v>16</v>
      </c>
      <c r="H1" t="s">
        <v>43</v>
      </c>
      <c r="J1" t="s">
        <v>44</v>
      </c>
      <c r="K1" t="s">
        <v>8</v>
      </c>
    </row>
    <row r="2" spans="1:8" ht="13.5" thickBot="1">
      <c r="A2" t="s">
        <v>19</v>
      </c>
      <c r="B2" s="25">
        <v>33.3333333</v>
      </c>
      <c r="F2" s="1" t="s">
        <v>30</v>
      </c>
      <c r="G2" s="4" t="s">
        <v>45</v>
      </c>
      <c r="H2" s="3" t="s">
        <v>46</v>
      </c>
    </row>
    <row r="3" spans="1:11" ht="13.5" thickTop="1">
      <c r="A3" t="s">
        <v>63</v>
      </c>
      <c r="B3">
        <f>1000/$B$2</f>
        <v>30.00000003</v>
      </c>
      <c r="E3" t="s">
        <v>42</v>
      </c>
      <c r="F3" s="19" t="s">
        <v>2</v>
      </c>
      <c r="G3" s="14">
        <f>ROUND($B$20,0)</f>
        <v>85</v>
      </c>
      <c r="H3" s="7">
        <v>-0.4</v>
      </c>
      <c r="I3" s="7" t="s">
        <v>53</v>
      </c>
      <c r="J3" s="7">
        <v>2.54</v>
      </c>
      <c r="K3" s="8"/>
    </row>
    <row r="4" spans="6:11" ht="12.75">
      <c r="F4" s="9"/>
      <c r="G4" s="15">
        <f>ROUND($B$21,0)</f>
        <v>974</v>
      </c>
      <c r="H4" s="5">
        <v>0</v>
      </c>
      <c r="I4" s="5" t="s">
        <v>54</v>
      </c>
      <c r="J4" s="5">
        <v>29.21</v>
      </c>
      <c r="K4" s="10"/>
    </row>
    <row r="5" spans="1:11" ht="13.5" thickBot="1">
      <c r="A5" s="26" t="s">
        <v>12</v>
      </c>
      <c r="B5" s="26"/>
      <c r="F5" s="11"/>
      <c r="G5" s="12">
        <f>$G$3+$G$4</f>
        <v>1059</v>
      </c>
      <c r="H5" s="16">
        <v>6</v>
      </c>
      <c r="I5" s="12"/>
      <c r="J5" s="12"/>
      <c r="K5" s="13">
        <f>G5*H5</f>
        <v>6354</v>
      </c>
    </row>
    <row r="6" spans="1:11" ht="13.5" thickTop="1">
      <c r="A6" t="s">
        <v>20</v>
      </c>
      <c r="C6">
        <v>256</v>
      </c>
      <c r="E6" t="s">
        <v>41</v>
      </c>
      <c r="F6" s="23" t="s">
        <v>3</v>
      </c>
      <c r="G6" s="14">
        <f>ROUND($B$22,0)</f>
        <v>910</v>
      </c>
      <c r="H6" s="7">
        <v>0</v>
      </c>
      <c r="I6" s="7" t="s">
        <v>54</v>
      </c>
      <c r="J6" s="7">
        <v>27.305</v>
      </c>
      <c r="K6" s="8"/>
    </row>
    <row r="7" spans="1:11" ht="12.75">
      <c r="A7" t="s">
        <v>21</v>
      </c>
      <c r="C7">
        <v>53.34</v>
      </c>
      <c r="F7" s="9"/>
      <c r="G7" s="15">
        <f>ROUND($B$23,0)</f>
        <v>148</v>
      </c>
      <c r="H7" s="5">
        <v>-0.4</v>
      </c>
      <c r="I7" s="5" t="s">
        <v>53</v>
      </c>
      <c r="J7" s="5">
        <v>4.445</v>
      </c>
      <c r="K7" s="10"/>
    </row>
    <row r="8" spans="1:11" ht="13.5" thickBot="1">
      <c r="A8" t="s">
        <v>22</v>
      </c>
      <c r="C8">
        <f>ROUND(C7/B3*1000,0)</f>
        <v>1778</v>
      </c>
      <c r="F8" s="11"/>
      <c r="G8" s="17">
        <f>$G$6+$G$7</f>
        <v>1058</v>
      </c>
      <c r="H8" s="16">
        <v>6</v>
      </c>
      <c r="I8" s="12"/>
      <c r="J8" s="12"/>
      <c r="K8" s="13">
        <f>G8*H8</f>
        <v>6348</v>
      </c>
    </row>
    <row r="9" spans="1:11" ht="13.5" thickTop="1">
      <c r="A9" t="s">
        <v>23</v>
      </c>
      <c r="C9">
        <f>C8/C6</f>
        <v>6.9453125</v>
      </c>
      <c r="E9" t="s">
        <v>40</v>
      </c>
      <c r="F9" s="19" t="s">
        <v>2</v>
      </c>
      <c r="G9" s="14">
        <f>ROUND($B$20,0)</f>
        <v>85</v>
      </c>
      <c r="H9" s="7">
        <v>-0.4</v>
      </c>
      <c r="I9" s="7" t="s">
        <v>53</v>
      </c>
      <c r="J9" s="7">
        <v>2.54</v>
      </c>
      <c r="K9" s="8"/>
    </row>
    <row r="10" spans="1:11" ht="12.75">
      <c r="A10" t="s">
        <v>52</v>
      </c>
      <c r="C10">
        <f>ROUNDDOWN(C9,0)</f>
        <v>6</v>
      </c>
      <c r="F10" s="9"/>
      <c r="G10" s="15">
        <f>ROUND($B$21,0)</f>
        <v>974</v>
      </c>
      <c r="H10" s="5">
        <v>0</v>
      </c>
      <c r="I10" s="5" t="s">
        <v>54</v>
      </c>
      <c r="J10" s="5">
        <v>29.21</v>
      </c>
      <c r="K10" s="10"/>
    </row>
    <row r="11" spans="1:11" ht="13.5" thickBot="1">
      <c r="A11" t="s">
        <v>24</v>
      </c>
      <c r="C11">
        <f>C10*C6</f>
        <v>1536</v>
      </c>
      <c r="F11" s="11"/>
      <c r="G11" s="12">
        <f>G9+G10</f>
        <v>1059</v>
      </c>
      <c r="H11" s="16">
        <v>6</v>
      </c>
      <c r="I11" s="12"/>
      <c r="J11" s="12"/>
      <c r="K11" s="13">
        <f>G11*H11</f>
        <v>6354</v>
      </c>
    </row>
    <row r="12" spans="1:11" ht="13.5" thickTop="1">
      <c r="A12" t="s">
        <v>25</v>
      </c>
      <c r="C12">
        <f>C8-C11</f>
        <v>242</v>
      </c>
      <c r="E12" t="s">
        <v>39</v>
      </c>
      <c r="F12" s="20" t="s">
        <v>4</v>
      </c>
      <c r="G12" s="14">
        <f>ROUND($B$24,0)</f>
        <v>1058</v>
      </c>
      <c r="H12" s="7"/>
      <c r="I12" s="7" t="s">
        <v>54</v>
      </c>
      <c r="J12" s="7">
        <v>31.75</v>
      </c>
      <c r="K12" s="8"/>
    </row>
    <row r="13" spans="1:11" ht="13.5" thickBot="1">
      <c r="A13" t="s">
        <v>26</v>
      </c>
      <c r="C13">
        <f>ROUNDUP(C12/2,0)</f>
        <v>121</v>
      </c>
      <c r="F13" s="11"/>
      <c r="G13" s="12">
        <f>G12</f>
        <v>1058</v>
      </c>
      <c r="H13" s="16">
        <v>1</v>
      </c>
      <c r="I13" s="12"/>
      <c r="J13" s="12"/>
      <c r="K13" s="13">
        <f>G13*H13</f>
        <v>1058</v>
      </c>
    </row>
    <row r="14" spans="1:11" ht="13.5" thickTop="1">
      <c r="A14" t="s">
        <v>27</v>
      </c>
      <c r="C14">
        <f>C12-C13</f>
        <v>121</v>
      </c>
      <c r="E14" t="s">
        <v>38</v>
      </c>
      <c r="F14" s="22" t="s">
        <v>5</v>
      </c>
      <c r="G14" s="14">
        <f>ROUND($B$25,0)</f>
        <v>169</v>
      </c>
      <c r="H14" s="7">
        <v>-0.4</v>
      </c>
      <c r="I14" s="7" t="s">
        <v>53</v>
      </c>
      <c r="J14" s="7">
        <v>5.08</v>
      </c>
      <c r="K14" s="8"/>
    </row>
    <row r="15" spans="1:11" ht="12.75">
      <c r="A15" t="s">
        <v>28</v>
      </c>
      <c r="C15">
        <f>100*(C11/C8)</f>
        <v>86.38920134983127</v>
      </c>
      <c r="F15" s="9"/>
      <c r="G15" s="15">
        <f>ROUND($B$26,0)</f>
        <v>127</v>
      </c>
      <c r="H15" s="5">
        <v>0</v>
      </c>
      <c r="I15" s="5" t="s">
        <v>55</v>
      </c>
      <c r="J15" s="5">
        <v>3.81</v>
      </c>
      <c r="K15" s="10"/>
    </row>
    <row r="16" spans="1:11" ht="12.75">
      <c r="A16" t="s">
        <v>29</v>
      </c>
      <c r="C16">
        <f>C10*B3</f>
        <v>180.00000018</v>
      </c>
      <c r="F16" s="9"/>
      <c r="G16" s="15">
        <f>ROUND($B$27,0)</f>
        <v>1778</v>
      </c>
      <c r="H16" s="5">
        <v>1</v>
      </c>
      <c r="I16" s="5" t="s">
        <v>54</v>
      </c>
      <c r="J16" s="5">
        <v>53.34</v>
      </c>
      <c r="K16" s="10"/>
    </row>
    <row r="17" spans="6:11" ht="12.75">
      <c r="F17" s="9"/>
      <c r="G17" s="15">
        <f>ROUND($B$28,0)</f>
        <v>42</v>
      </c>
      <c r="H17" s="5">
        <v>0</v>
      </c>
      <c r="I17" s="5" t="s">
        <v>56</v>
      </c>
      <c r="J17" s="5">
        <v>1.27</v>
      </c>
      <c r="K17" s="10"/>
    </row>
    <row r="18" spans="1:11" ht="13.5" thickBot="1">
      <c r="A18" s="26" t="s">
        <v>50</v>
      </c>
      <c r="F18" s="11"/>
      <c r="G18" s="12">
        <f>$G$14+$G$15+$G$16+$G$17</f>
        <v>2116</v>
      </c>
      <c r="H18" s="16">
        <v>10</v>
      </c>
      <c r="I18" s="12"/>
      <c r="J18" s="12"/>
      <c r="K18" s="13">
        <f>G18*H18</f>
        <v>21160</v>
      </c>
    </row>
    <row r="19" spans="2:11" ht="13.5" thickTop="1">
      <c r="B19" t="s">
        <v>1</v>
      </c>
      <c r="C19" t="s">
        <v>17</v>
      </c>
      <c r="E19" t="s">
        <v>37</v>
      </c>
      <c r="F19" s="21" t="s">
        <v>6</v>
      </c>
      <c r="G19" s="14">
        <f>ROUND($B$25,0)</f>
        <v>169</v>
      </c>
      <c r="H19" s="7">
        <v>-0.4</v>
      </c>
      <c r="I19" s="7" t="s">
        <v>53</v>
      </c>
      <c r="J19" s="7">
        <v>5.08</v>
      </c>
      <c r="K19" s="8"/>
    </row>
    <row r="20" spans="1:11" ht="12.75">
      <c r="A20">
        <v>2.54</v>
      </c>
      <c r="B20">
        <f aca="true" t="shared" si="0" ref="B20:B29">1000*A20/$B$3</f>
        <v>84.666666582</v>
      </c>
      <c r="C20">
        <f>ROUND($B$20,0)</f>
        <v>85</v>
      </c>
      <c r="F20" s="9"/>
      <c r="G20" s="15">
        <f>ROUND($B$26,0)</f>
        <v>127</v>
      </c>
      <c r="H20" s="5">
        <v>0</v>
      </c>
      <c r="I20" s="5" t="s">
        <v>55</v>
      </c>
      <c r="J20" s="5">
        <v>3.81</v>
      </c>
      <c r="K20" s="10"/>
    </row>
    <row r="21" spans="1:11" ht="12.75">
      <c r="A21">
        <v>29.21</v>
      </c>
      <c r="B21">
        <f t="shared" si="0"/>
        <v>973.666665693</v>
      </c>
      <c r="C21">
        <f>ROUND($B$21,0)</f>
        <v>974</v>
      </c>
      <c r="F21" s="9" t="s">
        <v>47</v>
      </c>
      <c r="G21" s="15">
        <f>C13</f>
        <v>121</v>
      </c>
      <c r="H21" s="5">
        <v>1</v>
      </c>
      <c r="I21" s="5" t="s">
        <v>54</v>
      </c>
      <c r="J21" s="5">
        <f>G21*B3/1000</f>
        <v>3.6300000036299997</v>
      </c>
      <c r="K21" s="10"/>
    </row>
    <row r="22" spans="1:11" ht="12.75">
      <c r="A22">
        <v>27.305</v>
      </c>
      <c r="B22">
        <f t="shared" si="0"/>
        <v>910.1666657565</v>
      </c>
      <c r="C22">
        <f>ROUND($B$22,0)</f>
        <v>910</v>
      </c>
      <c r="F22" s="9" t="s">
        <v>48</v>
      </c>
      <c r="G22" s="15">
        <f>C11</f>
        <v>1536</v>
      </c>
      <c r="H22" s="5" t="s">
        <v>11</v>
      </c>
      <c r="I22" s="5" t="s">
        <v>57</v>
      </c>
      <c r="J22" s="5">
        <f>G22*B3/1000</f>
        <v>46.08000004608</v>
      </c>
      <c r="K22" s="10"/>
    </row>
    <row r="23" spans="1:11" ht="12.75">
      <c r="A23">
        <v>4.445</v>
      </c>
      <c r="B23">
        <f t="shared" si="0"/>
        <v>148.1666665185</v>
      </c>
      <c r="C23">
        <f>ROUND($B$23,0)</f>
        <v>148</v>
      </c>
      <c r="F23" s="9" t="s">
        <v>49</v>
      </c>
      <c r="G23" s="15">
        <f>C14</f>
        <v>121</v>
      </c>
      <c r="H23" s="5">
        <v>1</v>
      </c>
      <c r="I23" s="5" t="s">
        <v>54</v>
      </c>
      <c r="J23" s="5">
        <f>G23*B3/1000</f>
        <v>3.6300000036299997</v>
      </c>
      <c r="K23" s="10"/>
    </row>
    <row r="24" spans="1:11" ht="12.75">
      <c r="A24">
        <v>31.75</v>
      </c>
      <c r="B24">
        <f t="shared" si="0"/>
        <v>1058.333332275</v>
      </c>
      <c r="C24">
        <f>ROUND($B$24,0)</f>
        <v>1058</v>
      </c>
      <c r="F24" s="9"/>
      <c r="G24" s="15">
        <f>ROUND($B$28,0)</f>
        <v>42</v>
      </c>
      <c r="H24" s="5">
        <v>0</v>
      </c>
      <c r="I24" s="5" t="s">
        <v>56</v>
      </c>
      <c r="J24" s="5">
        <v>1.27</v>
      </c>
      <c r="K24" s="10"/>
    </row>
    <row r="25" spans="1:11" ht="13.5" thickBot="1">
      <c r="A25">
        <v>5.08</v>
      </c>
      <c r="B25">
        <f t="shared" si="0"/>
        <v>169.333333164</v>
      </c>
      <c r="C25">
        <f>ROUND($B$25,0)</f>
        <v>169</v>
      </c>
      <c r="F25" s="11"/>
      <c r="G25" s="12">
        <f>G19+G20+G21+G22+G23+G24</f>
        <v>2116</v>
      </c>
      <c r="H25" s="16">
        <v>243</v>
      </c>
      <c r="I25" s="12"/>
      <c r="J25" s="12"/>
      <c r="K25" s="13">
        <f>G25*H25</f>
        <v>514188</v>
      </c>
    </row>
    <row r="26" spans="1:6" ht="14.25" thickBot="1" thickTop="1">
      <c r="A26">
        <v>3.81</v>
      </c>
      <c r="B26">
        <f t="shared" si="0"/>
        <v>126.99999987300001</v>
      </c>
      <c r="C26">
        <f>ROUND($B$26,0)</f>
        <v>127</v>
      </c>
      <c r="F26" s="1" t="s">
        <v>7</v>
      </c>
    </row>
    <row r="27" spans="1:11" ht="13.5" thickTop="1">
      <c r="A27">
        <v>53.34</v>
      </c>
      <c r="B27">
        <f t="shared" si="0"/>
        <v>1777.9999982220002</v>
      </c>
      <c r="C27">
        <f>ROUND($B$27,0)</f>
        <v>1778</v>
      </c>
      <c r="E27" t="s">
        <v>31</v>
      </c>
      <c r="F27" s="19" t="s">
        <v>2</v>
      </c>
      <c r="G27" s="14">
        <f>ROUND($B$20,0)</f>
        <v>85</v>
      </c>
      <c r="H27" s="7">
        <v>-0.4</v>
      </c>
      <c r="I27" s="7" t="s">
        <v>53</v>
      </c>
      <c r="J27" s="7">
        <v>2.54</v>
      </c>
      <c r="K27" s="8"/>
    </row>
    <row r="28" spans="1:11" ht="12.75">
      <c r="A28">
        <v>1.27</v>
      </c>
      <c r="B28">
        <f t="shared" si="0"/>
        <v>42.333333291</v>
      </c>
      <c r="C28">
        <f>ROUND($B$28,0)</f>
        <v>42</v>
      </c>
      <c r="F28" s="9"/>
      <c r="G28" s="15">
        <f>ROUND($B$21,0)</f>
        <v>974</v>
      </c>
      <c r="H28" s="5">
        <v>0</v>
      </c>
      <c r="I28" s="5" t="s">
        <v>54</v>
      </c>
      <c r="J28" s="5">
        <v>29.21</v>
      </c>
      <c r="K28" s="10"/>
    </row>
    <row r="29" spans="1:11" ht="13.5" thickBot="1">
      <c r="A29">
        <v>22.86</v>
      </c>
      <c r="B29">
        <f t="shared" si="0"/>
        <v>761.999999238</v>
      </c>
      <c r="C29">
        <f>ROUND($B$29,0)</f>
        <v>762</v>
      </c>
      <c r="F29" s="11"/>
      <c r="G29" s="12">
        <f>$G$3+$G$4</f>
        <v>1059</v>
      </c>
      <c r="H29" s="16">
        <v>6</v>
      </c>
      <c r="I29" s="12"/>
      <c r="J29" s="12"/>
      <c r="K29" s="13">
        <f>G29*H29</f>
        <v>6354</v>
      </c>
    </row>
    <row r="30" spans="5:11" ht="13.5" thickTop="1">
      <c r="E30" t="s">
        <v>32</v>
      </c>
      <c r="F30" s="23" t="s">
        <v>3</v>
      </c>
      <c r="G30" s="14">
        <f>ROUND($B$22,0)</f>
        <v>910</v>
      </c>
      <c r="H30" s="7">
        <v>0</v>
      </c>
      <c r="I30" s="7" t="s">
        <v>54</v>
      </c>
      <c r="J30" s="7">
        <v>27.305</v>
      </c>
      <c r="K30" s="8"/>
    </row>
    <row r="31" spans="1:11" ht="12.75">
      <c r="A31" s="26" t="s">
        <v>58</v>
      </c>
      <c r="F31" s="9"/>
      <c r="G31" s="15">
        <f>ROUND($B$23,0)</f>
        <v>148</v>
      </c>
      <c r="H31" s="5">
        <v>-0.4</v>
      </c>
      <c r="I31" s="5" t="s">
        <v>53</v>
      </c>
      <c r="J31" s="5">
        <v>4.445</v>
      </c>
      <c r="K31" s="10"/>
    </row>
    <row r="32" spans="1:11" ht="13.5" thickBot="1">
      <c r="A32" t="s">
        <v>15</v>
      </c>
      <c r="C32">
        <v>63.5</v>
      </c>
      <c r="F32" s="11"/>
      <c r="G32" s="12">
        <f>$G$6+$G$7</f>
        <v>1058</v>
      </c>
      <c r="H32" s="16">
        <v>6</v>
      </c>
      <c r="I32" s="12"/>
      <c r="J32" s="12"/>
      <c r="K32" s="13">
        <f>G32*H32</f>
        <v>6348</v>
      </c>
    </row>
    <row r="33" spans="1:11" ht="13.5" thickTop="1">
      <c r="A33" t="s">
        <v>66</v>
      </c>
      <c r="C33">
        <f>ROUND(C32/B3*1000,0)</f>
        <v>2117</v>
      </c>
      <c r="E33" t="s">
        <v>33</v>
      </c>
      <c r="F33" s="19" t="s">
        <v>2</v>
      </c>
      <c r="G33" s="14">
        <f>ROUND($B$20,0)</f>
        <v>85</v>
      </c>
      <c r="H33" s="7">
        <v>-0.4</v>
      </c>
      <c r="I33" s="7" t="s">
        <v>53</v>
      </c>
      <c r="J33" s="7">
        <v>2.54</v>
      </c>
      <c r="K33" s="8"/>
    </row>
    <row r="34" spans="1:11" ht="12.75">
      <c r="A34" t="s">
        <v>18</v>
      </c>
      <c r="C34">
        <f>C33*B3/1000</f>
        <v>63.51000006351</v>
      </c>
      <c r="F34" s="9"/>
      <c r="G34" s="15">
        <f>ROUND($B$21,0)</f>
        <v>974</v>
      </c>
      <c r="H34" s="5">
        <v>0</v>
      </c>
      <c r="I34" s="5" t="s">
        <v>54</v>
      </c>
      <c r="J34" s="5">
        <v>29.21</v>
      </c>
      <c r="K34" s="10"/>
    </row>
    <row r="35" spans="1:11" ht="13.5" thickBot="1">
      <c r="A35" t="s">
        <v>65</v>
      </c>
      <c r="C35">
        <f>100*(C34-C32)/C32</f>
        <v>0.015748131511809173</v>
      </c>
      <c r="F35" s="11"/>
      <c r="G35" s="12">
        <f>G33+G34</f>
        <v>1059</v>
      </c>
      <c r="H35" s="16">
        <v>6</v>
      </c>
      <c r="I35" s="12"/>
      <c r="J35" s="12"/>
      <c r="K35" s="13">
        <f>G35*H35</f>
        <v>6354</v>
      </c>
    </row>
    <row r="36" spans="5:11" ht="13.5" thickTop="1">
      <c r="E36" t="s">
        <v>34</v>
      </c>
      <c r="F36" s="22" t="s">
        <v>5</v>
      </c>
      <c r="G36" s="14">
        <f>ROUND($B$25,0)</f>
        <v>169</v>
      </c>
      <c r="H36" s="7">
        <v>-0.4</v>
      </c>
      <c r="I36" s="7" t="s">
        <v>53</v>
      </c>
      <c r="J36" s="7">
        <v>5.08</v>
      </c>
      <c r="K36" s="8"/>
    </row>
    <row r="37" spans="1:11" ht="12.75">
      <c r="A37" t="s">
        <v>59</v>
      </c>
      <c r="C37">
        <f>K5+K8+K11+K13+K18+K25</f>
        <v>555462</v>
      </c>
      <c r="F37" s="9"/>
      <c r="G37" s="15">
        <f>ROUND($B$26,0)</f>
        <v>127</v>
      </c>
      <c r="H37" s="5">
        <v>0</v>
      </c>
      <c r="I37" s="5" t="s">
        <v>55</v>
      </c>
      <c r="J37" s="5">
        <v>3.81</v>
      </c>
      <c r="K37" s="10"/>
    </row>
    <row r="38" spans="1:11" ht="12.75">
      <c r="A38" t="s">
        <v>60</v>
      </c>
      <c r="C38">
        <f>K29+K32+K35+K40+K47+K51</f>
        <v>555462</v>
      </c>
      <c r="F38" s="9"/>
      <c r="G38" s="15">
        <f>ROUND($B$27,0)</f>
        <v>1778</v>
      </c>
      <c r="H38" s="5">
        <v>1</v>
      </c>
      <c r="I38" s="5" t="s">
        <v>54</v>
      </c>
      <c r="J38" s="5">
        <v>53.34</v>
      </c>
      <c r="K38" s="10"/>
    </row>
    <row r="39" spans="1:11" ht="12.75">
      <c r="A39" s="2" t="s">
        <v>61</v>
      </c>
      <c r="C39">
        <f>C37+C38</f>
        <v>1110924</v>
      </c>
      <c r="F39" s="9"/>
      <c r="G39" s="15">
        <f>ROUND($B$28,0)</f>
        <v>42</v>
      </c>
      <c r="H39" s="5">
        <v>0</v>
      </c>
      <c r="I39" s="5" t="s">
        <v>56</v>
      </c>
      <c r="J39" s="5">
        <v>1.27</v>
      </c>
      <c r="K39" s="10"/>
    </row>
    <row r="40" spans="1:11" ht="13.5" thickBot="1">
      <c r="A40" t="s">
        <v>62</v>
      </c>
      <c r="C40">
        <f>C39*B3/1000000</f>
        <v>33.327720033327715</v>
      </c>
      <c r="F40" s="11"/>
      <c r="G40" s="12">
        <f>$G$14+$G$15+$G$16+$G$17</f>
        <v>2116</v>
      </c>
      <c r="H40" s="16">
        <v>10</v>
      </c>
      <c r="I40" s="12"/>
      <c r="J40" s="12"/>
      <c r="K40" s="13">
        <f>G40*H40</f>
        <v>21160</v>
      </c>
    </row>
    <row r="41" spans="1:11" ht="13.5" thickTop="1">
      <c r="A41" t="s">
        <v>9</v>
      </c>
      <c r="C41">
        <f>1000/C40</f>
        <v>30.00505282089504</v>
      </c>
      <c r="E41" t="s">
        <v>35</v>
      </c>
      <c r="F41" s="21" t="s">
        <v>6</v>
      </c>
      <c r="G41" s="14">
        <f>ROUND($B$25,0)</f>
        <v>169</v>
      </c>
      <c r="H41" s="7">
        <v>-0.4</v>
      </c>
      <c r="I41" s="7" t="s">
        <v>53</v>
      </c>
      <c r="J41" s="7">
        <v>5.08</v>
      </c>
      <c r="K41" s="8"/>
    </row>
    <row r="42" spans="1:11" ht="12.75">
      <c r="A42" t="s">
        <v>10</v>
      </c>
      <c r="C42">
        <v>29.97</v>
      </c>
      <c r="F42" s="9"/>
      <c r="G42" s="15">
        <f>ROUND($B$26,0)</f>
        <v>127</v>
      </c>
      <c r="H42" s="5">
        <v>0</v>
      </c>
      <c r="I42" s="5" t="s">
        <v>55</v>
      </c>
      <c r="J42" s="5">
        <v>3.81</v>
      </c>
      <c r="K42" s="10"/>
    </row>
    <row r="43" spans="1:11" ht="12.75">
      <c r="A43" t="s">
        <v>64</v>
      </c>
      <c r="C43">
        <f>100*(C42-C41)/C42</f>
        <v>-0.11695969601282254</v>
      </c>
      <c r="F43" s="9" t="s">
        <v>47</v>
      </c>
      <c r="G43" s="15">
        <f>G21</f>
        <v>121</v>
      </c>
      <c r="H43" s="5">
        <v>1</v>
      </c>
      <c r="I43" s="5" t="s">
        <v>54</v>
      </c>
      <c r="J43" s="5">
        <f>J21</f>
        <v>3.6300000036299997</v>
      </c>
      <c r="K43" s="10"/>
    </row>
    <row r="44" spans="6:11" ht="12.75">
      <c r="F44" s="9" t="s">
        <v>48</v>
      </c>
      <c r="G44" s="15">
        <f>G22</f>
        <v>1536</v>
      </c>
      <c r="H44" s="5" t="s">
        <v>11</v>
      </c>
      <c r="I44" s="5" t="s">
        <v>57</v>
      </c>
      <c r="J44" s="5">
        <f>J22</f>
        <v>46.08000004608</v>
      </c>
      <c r="K44" s="10"/>
    </row>
    <row r="45" spans="1:11" ht="12.75">
      <c r="A45" t="s">
        <v>14</v>
      </c>
      <c r="C45">
        <v>3.579545</v>
      </c>
      <c r="F45" s="9" t="s">
        <v>49</v>
      </c>
      <c r="G45" s="15">
        <f>G23</f>
        <v>121</v>
      </c>
      <c r="H45" s="5">
        <v>1</v>
      </c>
      <c r="I45" s="5" t="s">
        <v>54</v>
      </c>
      <c r="J45" s="5">
        <f>J23</f>
        <v>3.6300000036299997</v>
      </c>
      <c r="K45" s="10"/>
    </row>
    <row r="46" spans="1:11" ht="12.75">
      <c r="A46" t="s">
        <v>13</v>
      </c>
      <c r="C46">
        <f>B2/C45</f>
        <v>9.312170485354983</v>
      </c>
      <c r="F46" s="9"/>
      <c r="G46" s="15">
        <f>ROUND($B$28,0)</f>
        <v>42</v>
      </c>
      <c r="H46" s="6">
        <v>0</v>
      </c>
      <c r="I46" s="5" t="s">
        <v>56</v>
      </c>
      <c r="J46" s="5">
        <v>1.27</v>
      </c>
      <c r="K46" s="10"/>
    </row>
    <row r="47" spans="6:11" ht="13.5" thickBot="1">
      <c r="F47" s="11"/>
      <c r="G47" s="18">
        <f>G41+G42+G21+G22+G23+G46</f>
        <v>2116</v>
      </c>
      <c r="H47" s="12">
        <v>243</v>
      </c>
      <c r="I47" s="12"/>
      <c r="J47" s="12"/>
      <c r="K47" s="13">
        <f>G47*H47</f>
        <v>514188</v>
      </c>
    </row>
    <row r="48" spans="1:11" ht="13.5" thickTop="1">
      <c r="A48" t="s">
        <v>67</v>
      </c>
      <c r="E48" t="s">
        <v>36</v>
      </c>
      <c r="F48" s="20" t="s">
        <v>51</v>
      </c>
      <c r="G48" s="14">
        <f>ROUND($B$25,0)</f>
        <v>169</v>
      </c>
      <c r="H48" s="7">
        <v>-0.4</v>
      </c>
      <c r="I48" s="7" t="s">
        <v>53</v>
      </c>
      <c r="J48" s="7">
        <v>5.08</v>
      </c>
      <c r="K48" s="8"/>
    </row>
    <row r="49" spans="6:11" ht="12.75">
      <c r="F49" s="9"/>
      <c r="G49" s="15">
        <f>ROUND($B$26,0)</f>
        <v>127</v>
      </c>
      <c r="H49" s="5">
        <v>0</v>
      </c>
      <c r="I49" s="5" t="s">
        <v>55</v>
      </c>
      <c r="J49" s="5">
        <v>3.81</v>
      </c>
      <c r="K49" s="10"/>
    </row>
    <row r="50" spans="6:11" ht="12.75">
      <c r="F50" s="9"/>
      <c r="G50" s="15">
        <f>ROUND($B$29,0)</f>
        <v>762</v>
      </c>
      <c r="H50" s="5">
        <v>0.075</v>
      </c>
      <c r="I50" s="5" t="s">
        <v>54</v>
      </c>
      <c r="J50" s="5">
        <v>22.86</v>
      </c>
      <c r="K50" s="10"/>
    </row>
    <row r="51" spans="6:11" ht="13.5" thickBot="1">
      <c r="F51" s="11"/>
      <c r="G51" s="12">
        <f>G48+G49+G50</f>
        <v>1058</v>
      </c>
      <c r="H51" s="16">
        <v>1</v>
      </c>
      <c r="I51" s="12"/>
      <c r="J51" s="12"/>
      <c r="K51" s="13">
        <f>G51*H51</f>
        <v>1058</v>
      </c>
    </row>
    <row r="52" ht="13.5" thickTop="1"/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Avici Systems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nvawter</dc:creator>
  <cp:keywords/>
  <dc:description/>
  <cp:lastModifiedBy>nvawter</cp:lastModifiedBy>
  <dcterms:created xsi:type="dcterms:W3CDTF">2002-07-02T18:08:30Z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